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780" yWindow="3200" windowWidth="18220" windowHeight="13980" tabRatio="500" activeTab="0"/>
  </bookViews>
  <sheets>
    <sheet name="Sheet1" sheetId="1" r:id="rId1"/>
  </sheets>
  <definedNames>
    <definedName name="A_Bits_Per_Databit">'Sheet1'!$B$76</definedName>
    <definedName name="A_Code_Div">'Sheet1'!$B$55</definedName>
    <definedName name="A_Code_Rate">'Sheet1'!$B$56</definedName>
    <definedName name="A_databit_length">'Sheet1'!$B$75</definedName>
    <definedName name="A_Rate_Down">'Sheet1'!$B$61</definedName>
    <definedName name="A_Rate_Up">'Sheet1'!$B$60</definedName>
    <definedName name="B_Bits_Per_Databit">'Sheet1'!$C$76</definedName>
    <definedName name="B_Code_Rate">'Sheet1'!$C$56</definedName>
    <definedName name="B_databit_length">'Sheet1'!$C$75</definedName>
    <definedName name="B_Rate_Down">'Sheet1'!$C$61</definedName>
    <definedName name="B_Rate_Up">'Sheet1'!$C$60</definedName>
    <definedName name="Bits_Per_Databit">'Sheet1'!$B$76</definedName>
    <definedName name="fortnight">'Sheet1'!$B$94</definedName>
    <definedName name="HzPerMHz">'Sheet1'!$F$1</definedName>
    <definedName name="LightSpeed">'Sheet1'!$E$1</definedName>
    <definedName name="MPerKm">'Sheet1'!$F$4</definedName>
    <definedName name="Phase_Divisor">'Sheet1'!$E$67</definedName>
    <definedName name="USO_out_GPA_A">'Sheet1'!$B$9</definedName>
    <definedName name="USO_out_GPA_B">'Sheet1'!$C$9</definedName>
  </definedNames>
  <calcPr fullCalcOnLoad="1"/>
</workbook>
</file>

<file path=xl/sharedStrings.xml><?xml version="1.0" encoding="utf-8"?>
<sst xmlns="http://schemas.openxmlformats.org/spreadsheetml/2006/main" count="181" uniqueCount="149">
  <si>
    <t>for a different presentation of this.</t>
  </si>
  <si>
    <t>cycles / sec.</t>
  </si>
  <si>
    <t>divisor of 0x10000000 used by ASIC</t>
  </si>
  <si>
    <t>chip rate reg. up</t>
  </si>
  <si>
    <t>chip rate reg. down</t>
  </si>
  <si>
    <t>used up</t>
  </si>
  <si>
    <t>used down</t>
  </si>
  <si>
    <t>check</t>
  </si>
  <si>
    <t>hex</t>
  </si>
  <si>
    <t>hex</t>
  </si>
  <si>
    <t>-B</t>
  </si>
  <si>
    <t>-A</t>
  </si>
  <si>
    <t>MHz</t>
  </si>
  <si>
    <t>side</t>
  </si>
  <si>
    <t>USO xtal</t>
  </si>
  <si>
    <t>x2x4</t>
  </si>
  <si>
    <t>-B = -A + 99 Hz</t>
  </si>
  <si>
    <t>D-61501, TTA Description V 1.1, 2009 July 15</t>
  </si>
  <si>
    <t>x2x2x3</t>
  </si>
  <si>
    <t>USO out Ka</t>
  </si>
  <si>
    <t>USO out GPA</t>
  </si>
  <si>
    <t>Ka mult.</t>
  </si>
  <si>
    <t>message length</t>
  </si>
  <si>
    <t>fortnight</t>
  </si>
  <si>
    <t>databit length</t>
  </si>
  <si>
    <t>bits</t>
  </si>
  <si>
    <t>chips</t>
  </si>
  <si>
    <t>cycles/databit</t>
  </si>
  <si>
    <t>databit length</t>
  </si>
  <si>
    <t>bits means samples</t>
  </si>
  <si>
    <t>seconds</t>
  </si>
  <si>
    <t>years</t>
  </si>
  <si>
    <t>because we throw away half the 38 MHz samples</t>
  </si>
  <si>
    <t>km</t>
  </si>
  <si>
    <t>databit beat freq.</t>
  </si>
  <si>
    <t>Hz</t>
  </si>
  <si>
    <t>samples / integration</t>
  </si>
  <si>
    <t>time per integration</t>
  </si>
  <si>
    <t>dead time</t>
  </si>
  <si>
    <t>sec</t>
  </si>
  <si>
    <t>integrations / sec</t>
  </si>
  <si>
    <t>non-dead time</t>
  </si>
  <si>
    <t>msec</t>
  </si>
  <si>
    <t>msec</t>
  </si>
  <si>
    <t>20 msec. lap time</t>
  </si>
  <si>
    <t>1 sec lap time</t>
  </si>
  <si>
    <t>bits to represent</t>
  </si>
  <si>
    <t>both on int second</t>
  </si>
  <si>
    <t>cycles / 1023 sec.</t>
  </si>
  <si>
    <t>databits</t>
  </si>
  <si>
    <t>Brook's eqn. for 1 micron in Ka</t>
  </si>
  <si>
    <t>seconds</t>
  </si>
  <si>
    <t>lap period</t>
  </si>
  <si>
    <t>laps per fortnight</t>
  </si>
  <si>
    <t>53 usec.</t>
  </si>
  <si>
    <t>mm.</t>
  </si>
  <si>
    <t>USO</t>
  </si>
  <si>
    <t>S-Band</t>
  </si>
  <si>
    <t>Ka-Band</t>
  </si>
  <si>
    <t>12721 is prime, there is no shorter message synch on an integer second</t>
  </si>
  <si>
    <t>databits / 5115 sec.</t>
  </si>
  <si>
    <t>day-hr-min-sec</t>
  </si>
  <si>
    <t>PN chip length</t>
  </si>
  <si>
    <t>bits to represent</t>
  </si>
  <si>
    <t>databits/fortnight</t>
  </si>
  <si>
    <t>messages/fortnight</t>
  </si>
  <si>
    <t>subharmonic</t>
  </si>
  <si>
    <t>count overflow</t>
  </si>
  <si>
    <t>cumulative</t>
  </si>
  <si>
    <t>cumulative hex</t>
  </si>
  <si>
    <t>-A</t>
  </si>
  <si>
    <t>-B</t>
  </si>
  <si>
    <t>databits / message</t>
  </si>
  <si>
    <t>Ka Out</t>
  </si>
  <si>
    <t>IF = diff</t>
  </si>
  <si>
    <t>add</t>
  </si>
  <si>
    <t>mul</t>
  </si>
  <si>
    <t>div</t>
  </si>
  <si>
    <t>Transmit</t>
  </si>
  <si>
    <t>MHz</t>
  </si>
  <si>
    <t>Receive</t>
  </si>
  <si>
    <t>Sample</t>
  </si>
  <si>
    <t>Carrier Offset</t>
  </si>
  <si>
    <t>sample time</t>
  </si>
  <si>
    <t>microseconds</t>
  </si>
  <si>
    <t>hex of up</t>
  </si>
  <si>
    <t>hex of down</t>
  </si>
  <si>
    <t>interesting…</t>
  </si>
  <si>
    <t>messages</t>
  </si>
  <si>
    <t>(Excel rounding problem)</t>
  </si>
  <si>
    <t>bits left in a long</t>
  </si>
  <si>
    <t>repeat count</t>
  </si>
  <si>
    <t>fortnights in GRAIL ambiguity</t>
  </si>
  <si>
    <t>GRAIL ambiguity</t>
  </si>
  <si>
    <t>Julian years</t>
  </si>
  <si>
    <t>X-Band</t>
  </si>
  <si>
    <t>synthesizer ratios</t>
  </si>
  <si>
    <t>mul</t>
  </si>
  <si>
    <t>div</t>
  </si>
  <si>
    <t>RSB Tx</t>
  </si>
  <si>
    <t>2^18</t>
  </si>
  <si>
    <t>2^19</t>
  </si>
  <si>
    <t>256 databit ambiguities is a fortnight</t>
  </si>
  <si>
    <t>PN Code Rate</t>
  </si>
  <si>
    <t>PN Code div</t>
  </si>
  <si>
    <t>chips/sec.</t>
  </si>
  <si>
    <t>2^2*141</t>
  </si>
  <si>
    <t>2^3</t>
  </si>
  <si>
    <t>2^2*3</t>
  </si>
  <si>
    <t>code cycle</t>
  </si>
  <si>
    <t>cycle rate</t>
  </si>
  <si>
    <t>km</t>
  </si>
  <si>
    <t>sec.</t>
  </si>
  <si>
    <t>cycle length</t>
  </si>
  <si>
    <t>cycle length</t>
  </si>
  <si>
    <t>bits/chip</t>
  </si>
  <si>
    <t>databit length</t>
  </si>
  <si>
    <t>databit length</t>
  </si>
  <si>
    <t>cycle ambiguity</t>
  </si>
  <si>
    <t>Two fortnnights</t>
  </si>
  <si>
    <t>databit rate</t>
  </si>
  <si>
    <t>Hz</t>
  </si>
  <si>
    <t>code mismatch</t>
  </si>
  <si>
    <t>cycles / second</t>
  </si>
  <si>
    <t>remainder</t>
  </si>
  <si>
    <t>cycle rate</t>
  </si>
  <si>
    <t>carrier wavelength</t>
  </si>
  <si>
    <t>IF wavelength</t>
  </si>
  <si>
    <t>m.</t>
  </si>
  <si>
    <t>synthesizer ratios</t>
  </si>
  <si>
    <t>virtual LO</t>
  </si>
  <si>
    <t>used total</t>
  </si>
  <si>
    <t>databit length</t>
  </si>
  <si>
    <t>databit ambiguity</t>
  </si>
  <si>
    <t>message beat freq.</t>
  </si>
  <si>
    <t>Ticket 32 overflow values, 2/2/11</t>
  </si>
  <si>
    <t>chips</t>
  </si>
  <si>
    <t>chips hex</t>
  </si>
  <si>
    <t>end with databit</t>
  </si>
  <si>
    <t>amount ahead</t>
  </si>
  <si>
    <t>ambiguities in 2^32</t>
  </si>
  <si>
    <t>See "GRAIL S-Band Transmitter" section of</t>
  </si>
  <si>
    <t xml:space="preserve">GRAIL_TTA_rogstadDoc.doc </t>
  </si>
  <si>
    <t>code cycle</t>
  </si>
  <si>
    <t>ambiguity, meters</t>
  </si>
  <si>
    <t>B</t>
  </si>
  <si>
    <t>diff, if both</t>
  </si>
  <si>
    <t>sum, if both</t>
  </si>
  <si>
    <t>Copyright 2013 California Institute of Technology. Government sponsorship acknowledged.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</si>
</sst>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000000000000"/>
    <numFmt numFmtId="167" formatCode="0.0000000000000000"/>
    <numFmt numFmtId="168" formatCode="0.0000000"/>
    <numFmt numFmtId="169" formatCode="0.000000000"/>
    <numFmt numFmtId="170" formatCode="0.00000000000000"/>
    <numFmt numFmtId="171" formatCode="0.000"/>
    <numFmt numFmtId="172" formatCode="0.000000000000000000"/>
    <numFmt numFmtId="173" formatCode="0.0000000000000"/>
    <numFmt numFmtId="174" formatCode="0.00000000000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">
      <selection activeCell="A3" sqref="A3"/>
    </sheetView>
  </sheetViews>
  <sheetFormatPr defaultColWidth="11.00390625" defaultRowHeight="12.75" outlineLevelRow="1"/>
  <cols>
    <col min="1" max="1" width="17.00390625" style="0" customWidth="1"/>
    <col min="2" max="2" width="14.375" style="0" bestFit="1" customWidth="1"/>
    <col min="3" max="3" width="13.00390625" style="0" bestFit="1" customWidth="1"/>
    <col min="5" max="6" width="19.875" style="0" bestFit="1" customWidth="1"/>
    <col min="7" max="7" width="16.625" style="0" customWidth="1"/>
  </cols>
  <sheetData>
    <row r="1" spans="1:6" ht="12.75">
      <c r="A1" t="s">
        <v>17</v>
      </c>
      <c r="E1">
        <v>299792458</v>
      </c>
      <c r="F1">
        <v>1000000</v>
      </c>
    </row>
    <row r="3" ht="12.75">
      <c r="A3" s="11" t="s">
        <v>148</v>
      </c>
    </row>
    <row r="4" ht="12.75">
      <c r="F4">
        <v>1000</v>
      </c>
    </row>
    <row r="5" ht="12.75">
      <c r="A5" t="s">
        <v>56</v>
      </c>
    </row>
    <row r="6" spans="1:3" ht="12.75">
      <c r="A6" t="s">
        <v>13</v>
      </c>
      <c r="B6" s="1" t="s">
        <v>11</v>
      </c>
      <c r="C6" s="1" t="s">
        <v>10</v>
      </c>
    </row>
    <row r="7" spans="1:5" ht="12.75" outlineLevel="1">
      <c r="A7" t="s">
        <v>14</v>
      </c>
      <c r="B7" s="2">
        <v>4.832</v>
      </c>
      <c r="C7" s="2">
        <f>4.832+0.000099</f>
        <v>4.8320989999999995</v>
      </c>
      <c r="D7" t="s">
        <v>12</v>
      </c>
      <c r="E7" s="1" t="s">
        <v>16</v>
      </c>
    </row>
    <row r="8" spans="1:5" ht="12.75" outlineLevel="1">
      <c r="A8" t="s">
        <v>15</v>
      </c>
      <c r="B8">
        <f>2*4</f>
        <v>8</v>
      </c>
      <c r="C8">
        <f>2*4</f>
        <v>8</v>
      </c>
      <c r="E8" t="s">
        <v>107</v>
      </c>
    </row>
    <row r="9" spans="1:4" ht="12.75">
      <c r="A9" t="s">
        <v>20</v>
      </c>
      <c r="B9" s="2">
        <f>B7*B8</f>
        <v>38.656</v>
      </c>
      <c r="C9" s="2">
        <f>C7*C8</f>
        <v>38.656791999999996</v>
      </c>
      <c r="D9" t="s">
        <v>79</v>
      </c>
    </row>
    <row r="10" spans="1:5" ht="12.75">
      <c r="A10" t="s">
        <v>18</v>
      </c>
      <c r="B10">
        <f>2*2*3</f>
        <v>12</v>
      </c>
      <c r="C10">
        <f>2*2*3</f>
        <v>12</v>
      </c>
      <c r="E10" t="s">
        <v>108</v>
      </c>
    </row>
    <row r="11" spans="1:4" ht="12.75">
      <c r="A11" t="s">
        <v>19</v>
      </c>
      <c r="B11" s="2">
        <f>B7*B10</f>
        <v>57.983999999999995</v>
      </c>
      <c r="C11" s="2">
        <f>C7*C10</f>
        <v>57.985187999999994</v>
      </c>
      <c r="D11" t="s">
        <v>79</v>
      </c>
    </row>
    <row r="13" ht="12.75">
      <c r="A13" t="s">
        <v>58</v>
      </c>
    </row>
    <row r="14" spans="1:5" ht="12.75">
      <c r="A14" t="s">
        <v>21</v>
      </c>
      <c r="B14">
        <f>2^2*141</f>
        <v>564</v>
      </c>
      <c r="C14">
        <f>B14</f>
        <v>564</v>
      </c>
      <c r="E14" t="s">
        <v>106</v>
      </c>
    </row>
    <row r="15" spans="1:4" ht="12.75">
      <c r="A15" t="s">
        <v>73</v>
      </c>
      <c r="B15" s="2">
        <f>B11*B14</f>
        <v>32702.976</v>
      </c>
      <c r="C15" s="2">
        <f>C11*C14</f>
        <v>32703.646031999997</v>
      </c>
      <c r="D15" t="s">
        <v>79</v>
      </c>
    </row>
    <row r="16" spans="1:6" ht="12.75">
      <c r="A16" t="s">
        <v>74</v>
      </c>
      <c r="B16" s="2">
        <f>C15-B15</f>
        <v>0.670031999998173</v>
      </c>
      <c r="C16" s="2">
        <f>B15-C15</f>
        <v>-0.670031999998173</v>
      </c>
      <c r="D16" t="s">
        <v>79</v>
      </c>
      <c r="E16">
        <f>(E47/E17*1000)^2</f>
        <v>219.5684200408903</v>
      </c>
      <c r="F16">
        <f>(F47/F17*1000)^2</f>
        <v>258.94027205633313</v>
      </c>
    </row>
    <row r="17" spans="1:6" ht="12.75">
      <c r="A17" t="s">
        <v>126</v>
      </c>
      <c r="B17" s="2">
        <f>LightSpeed/B15/HzPerMHz*MPerKm</f>
        <v>9.167130783449188</v>
      </c>
      <c r="C17" s="2">
        <f>LightSpeed/C15/HzPerMHz*MPerKm</f>
        <v>9.166942967357764</v>
      </c>
      <c r="D17" t="s">
        <v>55</v>
      </c>
      <c r="E17" s="5">
        <f>B17/2/PI()/1000*1000</f>
        <v>1.4589941781558176</v>
      </c>
      <c r="F17" s="5">
        <f>C17/2/PI()/1000*1000</f>
        <v>1.4589642862964751</v>
      </c>
    </row>
    <row r="18" spans="1:4" ht="12.75">
      <c r="A18" t="s">
        <v>127</v>
      </c>
      <c r="B18" s="2">
        <f>LightSpeed/B16/HzPerMHz</f>
        <v>447.43006005805313</v>
      </c>
      <c r="C18" s="2">
        <f>LightSpeed/C16/HzPerMHz</f>
        <v>-447.43006005805313</v>
      </c>
      <c r="D18" t="s">
        <v>128</v>
      </c>
    </row>
    <row r="19" spans="1:3" ht="12.75">
      <c r="A19" t="s">
        <v>36</v>
      </c>
      <c r="B19" s="3">
        <f>1000000*B49*0.02</f>
        <v>386560</v>
      </c>
      <c r="C19" s="3">
        <f>B19</f>
        <v>386560</v>
      </c>
    </row>
    <row r="20" spans="1:5" ht="12.75">
      <c r="A20" t="s">
        <v>37</v>
      </c>
      <c r="B20" s="6">
        <f>B19/(B49*MPerKm)</f>
        <v>20</v>
      </c>
      <c r="C20" s="6">
        <f>C19/(C49*MPerKm)</f>
        <v>19.99959024018341</v>
      </c>
      <c r="D20" t="s">
        <v>42</v>
      </c>
      <c r="E20" s="9"/>
    </row>
    <row r="21" spans="1:4" ht="12.75">
      <c r="A21" t="s">
        <v>38</v>
      </c>
      <c r="B21" s="6">
        <f>B20/20</f>
        <v>1</v>
      </c>
      <c r="C21" s="6">
        <f>C20/20</f>
        <v>0.9999795120091705</v>
      </c>
      <c r="D21" t="s">
        <v>42</v>
      </c>
    </row>
    <row r="22" spans="1:4" ht="12.75">
      <c r="A22" t="s">
        <v>41</v>
      </c>
      <c r="B22" s="6">
        <f>B20-B21</f>
        <v>19</v>
      </c>
      <c r="C22" s="6">
        <f>C20-C21</f>
        <v>18.99961072817424</v>
      </c>
      <c r="D22" t="s">
        <v>43</v>
      </c>
    </row>
    <row r="23" spans="1:5" ht="12.75">
      <c r="A23" t="s">
        <v>40</v>
      </c>
      <c r="B23" s="2">
        <f>MPerKm/B20</f>
        <v>50</v>
      </c>
      <c r="C23" s="2">
        <f>MPerKm/C20</f>
        <v>50.001024420529795</v>
      </c>
      <c r="E23" s="9">
        <f>C23</f>
        <v>50.001024420529795</v>
      </c>
    </row>
    <row r="24" spans="1:7" ht="12.75">
      <c r="A24" t="s">
        <v>44</v>
      </c>
      <c r="B24" s="2">
        <f>1/(C23-B23)</f>
        <v>976.161616167526</v>
      </c>
      <c r="C24" s="2"/>
      <c r="D24" t="s">
        <v>39</v>
      </c>
      <c r="G24" t="s">
        <v>46</v>
      </c>
    </row>
    <row r="25" spans="1:7" ht="12.75">
      <c r="A25" t="s">
        <v>61</v>
      </c>
      <c r="B25">
        <f>INT(F25/86400)</f>
        <v>0</v>
      </c>
      <c r="C25">
        <f>INT(MOD(F25,86400)/3600)</f>
        <v>0</v>
      </c>
      <c r="D25">
        <f>INT(MOD(F25,3600)/60)</f>
        <v>16</v>
      </c>
      <c r="E25">
        <f>MOD(F25,60)</f>
        <v>16.16161616752595</v>
      </c>
      <c r="F25">
        <f>B24</f>
        <v>976.161616167526</v>
      </c>
      <c r="G25">
        <f>INT(LOG(F25,2)+1)</f>
        <v>10</v>
      </c>
    </row>
    <row r="26" spans="1:3" ht="12.75">
      <c r="A26" t="s">
        <v>45</v>
      </c>
      <c r="B26" s="2">
        <f>B23*B24</f>
        <v>48808.0808083763</v>
      </c>
      <c r="C26" s="2"/>
    </row>
    <row r="27" spans="1:7" ht="12.75">
      <c r="A27" t="s">
        <v>61</v>
      </c>
      <c r="B27">
        <f>INT(F27/86400)</f>
        <v>0</v>
      </c>
      <c r="C27">
        <f>INT(MOD(F27,86400)/3600)</f>
        <v>13</v>
      </c>
      <c r="D27">
        <f>INT(MOD(F27,3600)/60)</f>
        <v>33</v>
      </c>
      <c r="E27">
        <f>MOD(F27,60)</f>
        <v>28.080808376296773</v>
      </c>
      <c r="F27">
        <f>B26</f>
        <v>48808.0808083763</v>
      </c>
      <c r="G27">
        <f>INT(LOG(F27,2)+1)</f>
        <v>16</v>
      </c>
    </row>
    <row r="28" spans="1:2" ht="12.75">
      <c r="A28" t="s">
        <v>47</v>
      </c>
      <c r="B28" s="3">
        <f>99*B26*50</f>
        <v>241600000.0014627</v>
      </c>
    </row>
    <row r="29" spans="1:7" ht="12.75">
      <c r="A29" t="s">
        <v>61</v>
      </c>
      <c r="B29">
        <f>INT(F29/86400)</f>
        <v>2796</v>
      </c>
      <c r="C29">
        <f>INT(MOD(F29,86400)/3600)</f>
        <v>7</v>
      </c>
      <c r="D29">
        <f>INT(MOD(F29,3600)/60)</f>
        <v>6</v>
      </c>
      <c r="E29">
        <f>MOD(F29,60)</f>
        <v>40.00146269798279</v>
      </c>
      <c r="F29">
        <f>B28</f>
        <v>241600000.0014627</v>
      </c>
      <c r="G29">
        <f>INT(LOG(F29,2)+1)</f>
        <v>28</v>
      </c>
    </row>
    <row r="30" spans="1:2" ht="12.75">
      <c r="A30" t="s">
        <v>31</v>
      </c>
      <c r="B30">
        <f>B28/86400/365.25</f>
        <v>7.655842015915745</v>
      </c>
    </row>
    <row r="32" ht="12.75">
      <c r="A32" t="s">
        <v>95</v>
      </c>
    </row>
    <row r="33" ht="12.75">
      <c r="A33" t="s">
        <v>96</v>
      </c>
    </row>
    <row r="34" spans="1:3" ht="12.75">
      <c r="A34" t="s">
        <v>75</v>
      </c>
      <c r="B34">
        <v>109</v>
      </c>
      <c r="C34">
        <v>109</v>
      </c>
    </row>
    <row r="35" spans="1:3" ht="12.75">
      <c r="A35" t="s">
        <v>97</v>
      </c>
      <c r="B35">
        <v>83385</v>
      </c>
      <c r="C35">
        <v>83476</v>
      </c>
    </row>
    <row r="36" spans="1:5" ht="12.75">
      <c r="A36" t="s">
        <v>98</v>
      </c>
      <c r="B36">
        <v>262144</v>
      </c>
      <c r="C36">
        <v>262144</v>
      </c>
      <c r="E36" t="s">
        <v>100</v>
      </c>
    </row>
    <row r="37" spans="1:6" ht="12.75">
      <c r="A37" t="s">
        <v>99</v>
      </c>
      <c r="B37">
        <f>USO_out_GPA_A*2*(B34+B35/B36)</f>
        <v>8451.600060546874</v>
      </c>
      <c r="C37">
        <f>USO_out_GPA_B*2*(C34+C35/C36)</f>
        <v>8451.800058839599</v>
      </c>
      <c r="E37" s="4">
        <f>B37</f>
        <v>8451.600060546874</v>
      </c>
      <c r="F37" s="4">
        <f>C37</f>
        <v>8451.800058839599</v>
      </c>
    </row>
    <row r="38" spans="1:6" ht="12.75">
      <c r="A38" t="s">
        <v>126</v>
      </c>
      <c r="B38" s="2">
        <f>LightSpeed/B37/HzPerMHz</f>
        <v>0.03547168061104413</v>
      </c>
      <c r="C38" s="2">
        <f>LightSpeed/C37/HzPerMHz</f>
        <v>0.03547084123061477</v>
      </c>
      <c r="D38" t="s">
        <v>128</v>
      </c>
      <c r="E38" s="5">
        <f>B38/2/PI()/1000*1000</f>
        <v>0.005645493309024616</v>
      </c>
      <c r="F38" s="5">
        <f>C38/2/PI()/1000*1000</f>
        <v>0.005645359717480149</v>
      </c>
    </row>
    <row r="40" ht="12.75">
      <c r="A40" t="s">
        <v>57</v>
      </c>
    </row>
    <row r="41" ht="12.75">
      <c r="A41" t="s">
        <v>129</v>
      </c>
    </row>
    <row r="42" spans="1:6" ht="12.75">
      <c r="A42" t="s">
        <v>75</v>
      </c>
      <c r="B42">
        <v>52.5</v>
      </c>
      <c r="C42">
        <v>57</v>
      </c>
      <c r="E42">
        <f>B44*B42+B43</f>
        <v>27564453</v>
      </c>
      <c r="F42">
        <f>C44*C42+C43</f>
        <v>29932738</v>
      </c>
    </row>
    <row r="43" spans="1:3" ht="12.75">
      <c r="A43" t="s">
        <v>76</v>
      </c>
      <c r="B43">
        <v>39333</v>
      </c>
      <c r="C43">
        <v>48322</v>
      </c>
    </row>
    <row r="44" spans="1:5" ht="12.75">
      <c r="A44" t="s">
        <v>77</v>
      </c>
      <c r="B44">
        <v>524288</v>
      </c>
      <c r="C44">
        <v>524288</v>
      </c>
      <c r="E44" t="s">
        <v>101</v>
      </c>
    </row>
    <row r="45" spans="1:6" ht="12.75">
      <c r="A45" t="s">
        <v>78</v>
      </c>
      <c r="B45">
        <f>USO_out_GPA_A*(B42+B43/B44)</f>
        <v>2032.3400405273437</v>
      </c>
      <c r="C45">
        <f>USO_out_GPA_B*(C42+C43/C44)</f>
        <v>2207.0000207071225</v>
      </c>
      <c r="D45" t="s">
        <v>79</v>
      </c>
      <c r="E45" s="4">
        <f>B45</f>
        <v>2032.3400405273437</v>
      </c>
      <c r="F45" s="4">
        <f>C45</f>
        <v>2207.0000207071225</v>
      </c>
    </row>
    <row r="46" spans="1:5" ht="12.75">
      <c r="A46" t="s">
        <v>80</v>
      </c>
      <c r="B46">
        <f>C45</f>
        <v>2207.0000207071225</v>
      </c>
      <c r="C46">
        <f>B45</f>
        <v>2032.3400405273437</v>
      </c>
      <c r="D46" t="s">
        <v>79</v>
      </c>
      <c r="E46" s="5"/>
    </row>
    <row r="47" spans="1:6" ht="12.75">
      <c r="A47" t="s">
        <v>126</v>
      </c>
      <c r="B47" s="2">
        <f>LightSpeed/B46/HzPerMHz</f>
        <v>0.1358370888931603</v>
      </c>
      <c r="C47" s="2">
        <f>LightSpeed/C46/HzPerMHz</f>
        <v>0.14751097356828682</v>
      </c>
      <c r="D47" t="s">
        <v>128</v>
      </c>
      <c r="E47" s="5">
        <f>B47/2/PI()/1000*1000</f>
        <v>0.021619144152559656</v>
      </c>
      <c r="F47" s="5">
        <f>C47/2/PI()/1000*1000</f>
        <v>0.023477100603690768</v>
      </c>
    </row>
    <row r="49" spans="1:5" ht="12.75">
      <c r="A49" t="s">
        <v>81</v>
      </c>
      <c r="B49" s="2">
        <f>USO_out_GPA_A/2</f>
        <v>19.328</v>
      </c>
      <c r="C49" s="2">
        <f>USO_out_GPA_B/2</f>
        <v>19.328395999999998</v>
      </c>
      <c r="D49" t="s">
        <v>79</v>
      </c>
      <c r="E49" t="s">
        <v>32</v>
      </c>
    </row>
    <row r="50" spans="1:4" ht="12.75">
      <c r="A50" t="s">
        <v>83</v>
      </c>
      <c r="B50" s="2">
        <f>1/B49</f>
        <v>0.05173841059602649</v>
      </c>
      <c r="C50" s="2">
        <f>1/C49</f>
        <v>0.05173735057994466</v>
      </c>
      <c r="D50" t="s">
        <v>84</v>
      </c>
    </row>
    <row r="51" spans="1:6" ht="12.75">
      <c r="A51" t="s">
        <v>66</v>
      </c>
      <c r="B51" s="7">
        <f>INT(B46/B49)</f>
        <v>114</v>
      </c>
      <c r="C51" s="7">
        <f>INT(C46/C49)</f>
        <v>105</v>
      </c>
      <c r="E51" s="4"/>
      <c r="F51" s="4"/>
    </row>
    <row r="52" spans="1:6" ht="12.75">
      <c r="A52" t="s">
        <v>130</v>
      </c>
      <c r="B52" s="2">
        <f>B51*B49</f>
        <v>2203.392</v>
      </c>
      <c r="C52" s="2">
        <f>C51*C49</f>
        <v>2029.4815799999997</v>
      </c>
      <c r="D52" t="s">
        <v>12</v>
      </c>
      <c r="E52" s="4"/>
      <c r="F52" s="4"/>
    </row>
    <row r="53" spans="1:6" ht="12.75">
      <c r="A53" t="s">
        <v>82</v>
      </c>
      <c r="B53" s="2">
        <f>B46-B52</f>
        <v>3.608020707122705</v>
      </c>
      <c r="C53" s="2">
        <f>C46-C52</f>
        <v>2.85846052734405</v>
      </c>
      <c r="D53" t="s">
        <v>12</v>
      </c>
      <c r="E53" s="4">
        <f>B53</f>
        <v>3.608020707122705</v>
      </c>
      <c r="F53" s="4">
        <f>C53</f>
        <v>2.85846052734405</v>
      </c>
    </row>
    <row r="54" spans="2:6" ht="12.75">
      <c r="B54" s="2"/>
      <c r="C54" s="2"/>
      <c r="E54" s="4"/>
      <c r="F54" s="4"/>
    </row>
    <row r="55" spans="1:5" ht="12.75">
      <c r="A55" t="s">
        <v>104</v>
      </c>
      <c r="B55">
        <v>20</v>
      </c>
      <c r="C55">
        <v>19</v>
      </c>
      <c r="D55" t="s">
        <v>115</v>
      </c>
      <c r="E55" t="s">
        <v>29</v>
      </c>
    </row>
    <row r="56" spans="1:4" ht="12.75">
      <c r="A56" t="s">
        <v>103</v>
      </c>
      <c r="B56" s="3">
        <f>B49/B55*1000000</f>
        <v>966399.9999999999</v>
      </c>
      <c r="C56" s="3">
        <f>C49/C55*1000000</f>
        <v>1017283.9999999999</v>
      </c>
      <c r="D56" t="s">
        <v>105</v>
      </c>
    </row>
    <row r="57" spans="1:4" ht="12.75">
      <c r="A57" t="s">
        <v>62</v>
      </c>
      <c r="B57" s="6">
        <f>1/B56</f>
        <v>1.03476821192053E-06</v>
      </c>
      <c r="C57" s="6">
        <f>1/C56</f>
        <v>9.830096610189487E-07</v>
      </c>
      <c r="D57" t="s">
        <v>30</v>
      </c>
    </row>
    <row r="58" spans="1:4" ht="12.75">
      <c r="A58" t="s">
        <v>62</v>
      </c>
      <c r="B58" s="2">
        <f>B57*LightSpeed/MPerKm</f>
        <v>0.3102157057119206</v>
      </c>
      <c r="C58" s="2">
        <f>C57*LightSpeed/MPerKm</f>
        <v>0.2946988825146174</v>
      </c>
      <c r="D58" t="s">
        <v>111</v>
      </c>
    </row>
    <row r="59" spans="2:3" ht="12.75">
      <c r="B59" s="3"/>
      <c r="C59" s="3"/>
    </row>
    <row r="60" spans="1:5" ht="12.75">
      <c r="A60" t="s">
        <v>3</v>
      </c>
      <c r="B60" s="3">
        <f>HEX2DEC("cccccd")</f>
        <v>13421773</v>
      </c>
      <c r="C60" s="3">
        <f>HEX2DEC("d79436")</f>
        <v>14128182</v>
      </c>
      <c r="E60" t="s">
        <v>2</v>
      </c>
    </row>
    <row r="61" spans="1:5" ht="12.75">
      <c r="A61" t="s">
        <v>4</v>
      </c>
      <c r="B61" s="3">
        <f>HEX2DEC("cccccc")</f>
        <v>13421772</v>
      </c>
      <c r="C61" s="3">
        <f>HEX2DEC("d79435")</f>
        <v>14128181</v>
      </c>
      <c r="E61" t="s">
        <v>141</v>
      </c>
    </row>
    <row r="62" spans="1:5" ht="12.75">
      <c r="A62" t="s">
        <v>85</v>
      </c>
      <c r="B62" s="3" t="str">
        <f>DEC2HEX(B60)</f>
        <v>CCCCCD</v>
      </c>
      <c r="C62" s="3" t="str">
        <f>DEC2HEX(C60)</f>
        <v>D79436</v>
      </c>
      <c r="D62" t="s">
        <v>9</v>
      </c>
      <c r="E62" t="s">
        <v>142</v>
      </c>
    </row>
    <row r="63" spans="1:5" ht="12.75">
      <c r="A63" t="s">
        <v>86</v>
      </c>
      <c r="B63" s="3" t="str">
        <f>DEC2HEX(B61)</f>
        <v>CCCCCC</v>
      </c>
      <c r="C63" s="3" t="str">
        <f>DEC2HEX(C61)</f>
        <v>D79435</v>
      </c>
      <c r="D63" t="s">
        <v>9</v>
      </c>
      <c r="E63" t="s">
        <v>0</v>
      </c>
    </row>
    <row r="64" spans="1:3" ht="12.75" outlineLevel="1">
      <c r="A64" t="s">
        <v>5</v>
      </c>
      <c r="B64">
        <v>8</v>
      </c>
      <c r="C64">
        <v>17</v>
      </c>
    </row>
    <row r="65" spans="1:3" ht="12.75" outlineLevel="1">
      <c r="A65" t="s">
        <v>6</v>
      </c>
      <c r="B65">
        <v>2</v>
      </c>
      <c r="C65">
        <v>2</v>
      </c>
    </row>
    <row r="66" spans="1:3" ht="12.75">
      <c r="A66" t="s">
        <v>131</v>
      </c>
      <c r="B66">
        <f>B65+B64</f>
        <v>10</v>
      </c>
      <c r="C66">
        <f>C65+C64</f>
        <v>19</v>
      </c>
    </row>
    <row r="67" spans="1:5" ht="12.75">
      <c r="A67" t="s">
        <v>7</v>
      </c>
      <c r="B67" t="str">
        <f>DEC2HEX((B60*B64+B61*B65)/(B64+B65)*B55)</f>
        <v>10000000</v>
      </c>
      <c r="C67" t="str">
        <f>DEC2HEX((C60*C64+C61*C65)/(C64+C65)*C55)</f>
        <v>10000000</v>
      </c>
      <c r="D67" t="s">
        <v>8</v>
      </c>
      <c r="E67">
        <f>HEX2DEC(C67)</f>
        <v>268435456</v>
      </c>
    </row>
    <row r="69" spans="1:7" ht="12.75">
      <c r="A69" t="s">
        <v>109</v>
      </c>
      <c r="B69">
        <v>1023</v>
      </c>
      <c r="C69">
        <v>1023</v>
      </c>
      <c r="G69" t="s">
        <v>54</v>
      </c>
    </row>
    <row r="70" spans="1:7" ht="12.75">
      <c r="A70" t="s">
        <v>110</v>
      </c>
      <c r="B70" s="2">
        <f>B56/B69</f>
        <v>944.6725317693058</v>
      </c>
      <c r="C70" s="2">
        <f>C56/C69</f>
        <v>994.4125122189637</v>
      </c>
      <c r="D70" t="s">
        <v>1</v>
      </c>
      <c r="E70" s="10">
        <f>1/B70</f>
        <v>0.0010585678807947022</v>
      </c>
      <c r="F70" s="10">
        <f>1/C70</f>
        <v>0.0010056188832223846</v>
      </c>
      <c r="G70">
        <f>(E70-F70)*1000000</f>
        <v>52.948997572317644</v>
      </c>
    </row>
    <row r="71" spans="1:4" ht="12.75">
      <c r="A71" t="s">
        <v>113</v>
      </c>
      <c r="B71" s="6">
        <f>1/B70</f>
        <v>0.0010585678807947022</v>
      </c>
      <c r="C71" s="6">
        <f>1/C70</f>
        <v>0.0010056188832223846</v>
      </c>
      <c r="D71" t="s">
        <v>112</v>
      </c>
    </row>
    <row r="72" spans="1:5" ht="12.75">
      <c r="A72" t="s">
        <v>114</v>
      </c>
      <c r="B72" s="8">
        <f>B71*LightSpeed/MPerKm</f>
        <v>317.35066694329475</v>
      </c>
      <c r="C72" s="8">
        <f>C71*LightSpeed/MPerKm</f>
        <v>301.47695681245364</v>
      </c>
      <c r="D72" t="s">
        <v>33</v>
      </c>
      <c r="E72" s="8"/>
    </row>
    <row r="74" spans="1:4" ht="12.75">
      <c r="A74" t="s">
        <v>116</v>
      </c>
      <c r="B74">
        <v>20</v>
      </c>
      <c r="C74">
        <v>20</v>
      </c>
      <c r="D74" t="s">
        <v>27</v>
      </c>
    </row>
    <row r="75" spans="1:4" ht="12.75">
      <c r="A75" t="s">
        <v>117</v>
      </c>
      <c r="B75">
        <f>B74*B69</f>
        <v>20460</v>
      </c>
      <c r="C75">
        <f>C74*C69</f>
        <v>20460</v>
      </c>
      <c r="D75" t="s">
        <v>26</v>
      </c>
    </row>
    <row r="76" spans="1:4" ht="12.75">
      <c r="A76" t="s">
        <v>24</v>
      </c>
      <c r="B76">
        <f>B75*B55</f>
        <v>409200</v>
      </c>
      <c r="C76">
        <f>C75*C55</f>
        <v>388740</v>
      </c>
      <c r="D76" t="s">
        <v>25</v>
      </c>
    </row>
    <row r="77" spans="1:4" ht="12.75">
      <c r="A77" t="s">
        <v>28</v>
      </c>
      <c r="B77" s="6">
        <f>B76/B49/1000000</f>
        <v>0.021171357615894042</v>
      </c>
      <c r="C77" s="6">
        <f>C76/C49/1000000</f>
        <v>0.02011237766444769</v>
      </c>
      <c r="D77" t="s">
        <v>30</v>
      </c>
    </row>
    <row r="78" spans="1:4" ht="12.75">
      <c r="A78" t="s">
        <v>120</v>
      </c>
      <c r="B78" s="6">
        <f>1/B77</f>
        <v>47.23362658846529</v>
      </c>
      <c r="C78" s="6">
        <f>1/C77</f>
        <v>49.72062561094818</v>
      </c>
      <c r="D78" t="s">
        <v>121</v>
      </c>
    </row>
    <row r="79" spans="1:4" ht="12.75">
      <c r="A79" t="s">
        <v>132</v>
      </c>
      <c r="B79" s="8">
        <f>B77*LightSpeed/MPerKm</f>
        <v>6347.013338865895</v>
      </c>
      <c r="C79" s="8">
        <f>C77*LightSpeed/MPerKm</f>
        <v>6029.539136249072</v>
      </c>
      <c r="D79" t="s">
        <v>33</v>
      </c>
    </row>
    <row r="80" spans="2:3" ht="12.75">
      <c r="B80" s="8"/>
      <c r="C80" s="8"/>
    </row>
    <row r="81" spans="1:4" ht="12.75">
      <c r="A81" t="s">
        <v>34</v>
      </c>
      <c r="B81" s="8">
        <f>C78-B78</f>
        <v>2.486999022482891</v>
      </c>
      <c r="C81" s="8"/>
      <c r="D81" t="s">
        <v>35</v>
      </c>
    </row>
    <row r="82" spans="5:8" ht="12.75">
      <c r="E82" t="s">
        <v>143</v>
      </c>
      <c r="F82" t="s">
        <v>145</v>
      </c>
      <c r="G82" t="s">
        <v>146</v>
      </c>
      <c r="H82" t="s">
        <v>147</v>
      </c>
    </row>
    <row r="83" spans="1:8" ht="12.75">
      <c r="A83" t="s">
        <v>125</v>
      </c>
      <c r="B83">
        <f>INT(B56/B69)</f>
        <v>944</v>
      </c>
      <c r="C83">
        <f>INT(C56/C69)</f>
        <v>994</v>
      </c>
      <c r="D83" t="s">
        <v>123</v>
      </c>
      <c r="E83">
        <f>1/B83</f>
        <v>0.001059322033898305</v>
      </c>
      <c r="F83">
        <f>1/C83</f>
        <v>0.001006036217303823</v>
      </c>
      <c r="G83">
        <f>E83-F83</f>
        <v>5.328581659448206E-05</v>
      </c>
      <c r="H83">
        <f>E83+F83</f>
        <v>0.0020653582512021283</v>
      </c>
    </row>
    <row r="84" spans="1:8" ht="12.75">
      <c r="A84" t="s">
        <v>122</v>
      </c>
      <c r="B84" s="3">
        <f>MOD(B56,B69)</f>
        <v>687.9999999998836</v>
      </c>
      <c r="C84" s="3">
        <f>MOD(C56,C69)</f>
        <v>421.9999999998836</v>
      </c>
      <c r="D84" t="s">
        <v>124</v>
      </c>
      <c r="E84">
        <f>E83*LightSpeed</f>
        <v>317576.7563559322</v>
      </c>
      <c r="F84">
        <f>F83*LightSpeed</f>
        <v>301602.07042253524</v>
      </c>
      <c r="G84">
        <f>G83*LightSpeed</f>
        <v>15974.685933396966</v>
      </c>
      <c r="H84">
        <f>H83*LightSpeed</f>
        <v>619178.8267784675</v>
      </c>
    </row>
    <row r="85" ht="12.75">
      <c r="E85" t="s">
        <v>144</v>
      </c>
    </row>
    <row r="86" spans="1:7" ht="12.75">
      <c r="A86" t="s">
        <v>118</v>
      </c>
      <c r="B86" s="3">
        <f>B56</f>
        <v>966399.9999999999</v>
      </c>
      <c r="C86" s="3">
        <f>C56</f>
        <v>1017283.9999999999</v>
      </c>
      <c r="D86" t="s">
        <v>48</v>
      </c>
      <c r="G86" t="s">
        <v>63</v>
      </c>
    </row>
    <row r="87" spans="1:7" ht="12.75">
      <c r="A87" t="s">
        <v>61</v>
      </c>
      <c r="B87">
        <f>INT(F87/86400)</f>
        <v>0</v>
      </c>
      <c r="C87">
        <f>INT(MOD(F87,86400)/3600)</f>
        <v>0</v>
      </c>
      <c r="D87">
        <f>INT(MOD(F87,3600)/60)</f>
        <v>17</v>
      </c>
      <c r="E87">
        <f>MOD(F87,60)</f>
        <v>3</v>
      </c>
      <c r="F87">
        <f>B69</f>
        <v>1023</v>
      </c>
      <c r="G87">
        <f>INT(LOG(F87,2)+1)</f>
        <v>10</v>
      </c>
    </row>
    <row r="88" spans="1:3" ht="12.75">
      <c r="A88" t="s">
        <v>49</v>
      </c>
      <c r="B88">
        <f>B86/B74</f>
        <v>48319.99999999999</v>
      </c>
      <c r="C88">
        <f>C86/C74</f>
        <v>50864.2</v>
      </c>
    </row>
    <row r="90" spans="1:4" ht="12.75">
      <c r="A90" t="s">
        <v>133</v>
      </c>
      <c r="B90">
        <f>B69*5</f>
        <v>5115</v>
      </c>
      <c r="C90">
        <f>C69*5</f>
        <v>5115</v>
      </c>
      <c r="D90" t="s">
        <v>51</v>
      </c>
    </row>
    <row r="91" spans="1:7" ht="12.75">
      <c r="A91" t="s">
        <v>61</v>
      </c>
      <c r="B91">
        <f>INT(F91/86400)</f>
        <v>0</v>
      </c>
      <c r="C91">
        <f>INT(MOD(F91,86400)/3600)</f>
        <v>1</v>
      </c>
      <c r="D91">
        <f>INT(MOD(F91,3600)/60)</f>
        <v>25</v>
      </c>
      <c r="E91">
        <f>MOD(F91,60)</f>
        <v>15</v>
      </c>
      <c r="F91">
        <f>B90</f>
        <v>5115</v>
      </c>
      <c r="G91">
        <f>INT(LOG(F91,2)+1)</f>
        <v>13</v>
      </c>
    </row>
    <row r="92" spans="1:4" ht="12.75">
      <c r="A92" t="s">
        <v>49</v>
      </c>
      <c r="B92">
        <f>B88*5</f>
        <v>241599.99999999997</v>
      </c>
      <c r="C92">
        <f>C88*5</f>
        <v>254321</v>
      </c>
      <c r="D92" t="s">
        <v>60</v>
      </c>
    </row>
    <row r="94" spans="1:4" ht="12.75">
      <c r="A94" t="s">
        <v>23</v>
      </c>
      <c r="B94">
        <f>B90*B97</f>
        <v>1309440</v>
      </c>
      <c r="C94">
        <f>C90*C97</f>
        <v>1309440</v>
      </c>
      <c r="D94" t="s">
        <v>102</v>
      </c>
    </row>
    <row r="95" spans="1:7" ht="12.75">
      <c r="A95" t="s">
        <v>61</v>
      </c>
      <c r="B95">
        <f>INT(F95/86400)</f>
        <v>15</v>
      </c>
      <c r="C95">
        <f>INT(MOD(F95,86400)/3600)</f>
        <v>3</v>
      </c>
      <c r="D95">
        <f>INT(MOD(F95,3600)/60)</f>
        <v>44</v>
      </c>
      <c r="E95">
        <f>MOD(F95,60)</f>
        <v>0</v>
      </c>
      <c r="F95">
        <f>B90*B97</f>
        <v>1309440</v>
      </c>
      <c r="G95">
        <f>INT(LOG(F95,2)+1)</f>
        <v>21</v>
      </c>
    </row>
    <row r="97" spans="1:3" ht="12.75" outlineLevel="1">
      <c r="A97" t="s">
        <v>72</v>
      </c>
      <c r="B97">
        <v>256</v>
      </c>
      <c r="C97">
        <v>256</v>
      </c>
    </row>
    <row r="98" spans="1:4" ht="12.75" outlineLevel="1">
      <c r="A98" t="s">
        <v>64</v>
      </c>
      <c r="B98">
        <f>B94/B77</f>
        <v>61849599.99999999</v>
      </c>
      <c r="C98">
        <f>C94/C77</f>
        <v>65106175.99999999</v>
      </c>
      <c r="D98" t="s">
        <v>49</v>
      </c>
    </row>
    <row r="99" spans="1:7" ht="12.75">
      <c r="A99" t="s">
        <v>65</v>
      </c>
      <c r="B99">
        <f>B98/B97+0.000001</f>
        <v>241600.00000099998</v>
      </c>
      <c r="C99">
        <f>C98/C97+0.000001</f>
        <v>254321.00000099998</v>
      </c>
      <c r="D99" t="s">
        <v>88</v>
      </c>
      <c r="E99" t="s">
        <v>89</v>
      </c>
      <c r="G99">
        <f>INT(LOG(C99,2)+1)</f>
        <v>18</v>
      </c>
    </row>
    <row r="100" spans="2:4" ht="12.75">
      <c r="B100" t="str">
        <f>DEC2HEX(B99)</f>
        <v>3AFC0</v>
      </c>
      <c r="C100" t="str">
        <f>DEC2HEX(C99)</f>
        <v>3E171</v>
      </c>
      <c r="D100" t="s">
        <v>9</v>
      </c>
    </row>
    <row r="101" spans="1:2" ht="12.75">
      <c r="A101" t="s">
        <v>90</v>
      </c>
      <c r="B101">
        <f>32-G99</f>
        <v>14</v>
      </c>
    </row>
    <row r="102" spans="1:5" ht="12.75">
      <c r="A102" t="s">
        <v>91</v>
      </c>
      <c r="B102">
        <f>2^B101</f>
        <v>16384</v>
      </c>
      <c r="E102" t="s">
        <v>92</v>
      </c>
    </row>
    <row r="103" spans="1:4" ht="12.75">
      <c r="A103" t="s">
        <v>93</v>
      </c>
      <c r="B103">
        <f>B102*fortnight</f>
        <v>21453864960</v>
      </c>
      <c r="D103" t="s">
        <v>30</v>
      </c>
    </row>
    <row r="104" spans="1:7" ht="12.75">
      <c r="A104" t="s">
        <v>61</v>
      </c>
      <c r="B104">
        <f>INT(F104/86400)</f>
        <v>248308</v>
      </c>
      <c r="C104">
        <f>INT(MOD(F104,86400)/3600)</f>
        <v>14</v>
      </c>
      <c r="D104">
        <f>INT(MOD(F104,3600)/60)</f>
        <v>56</v>
      </c>
      <c r="E104">
        <f>MOD(MOD(F104,3600),60)</f>
        <v>0</v>
      </c>
      <c r="F104">
        <f>B103</f>
        <v>21453864960</v>
      </c>
      <c r="G104">
        <f>INT(LOG(F104,2)+1)</f>
        <v>35</v>
      </c>
    </row>
    <row r="105" spans="2:4" ht="12.75">
      <c r="B105">
        <f>B103/365.26/86400</f>
        <v>679.8133445277946</v>
      </c>
      <c r="D105" t="s">
        <v>94</v>
      </c>
    </row>
    <row r="106" spans="1:4" ht="12.75">
      <c r="A106" t="s">
        <v>140</v>
      </c>
      <c r="B106">
        <f>B103/2^32</f>
        <v>4.9951171875</v>
      </c>
      <c r="D106" t="s">
        <v>87</v>
      </c>
    </row>
    <row r="108" spans="1:4" ht="12.75">
      <c r="A108" t="s">
        <v>22</v>
      </c>
      <c r="B108" s="2">
        <f>B97/B78</f>
        <v>5.419867549668875</v>
      </c>
      <c r="C108" s="2">
        <f>C97/C78</f>
        <v>5.148768682098608</v>
      </c>
      <c r="D108" t="s">
        <v>30</v>
      </c>
    </row>
    <row r="109" spans="1:4" ht="12.75">
      <c r="A109" t="s">
        <v>134</v>
      </c>
      <c r="B109" s="2">
        <f>1/C108-1/B108</f>
        <v>0.009714839931573793</v>
      </c>
      <c r="C109" s="2"/>
      <c r="D109" t="s">
        <v>35</v>
      </c>
    </row>
    <row r="110" spans="1:6" ht="12.75">
      <c r="A110" t="s">
        <v>52</v>
      </c>
      <c r="B110" s="8">
        <f>1/B109</f>
        <v>102.93530382831548</v>
      </c>
      <c r="C110" s="2"/>
      <c r="D110" t="s">
        <v>30</v>
      </c>
      <c r="F110">
        <f>C92-B92</f>
        <v>12721.00000000003</v>
      </c>
    </row>
    <row r="111" spans="1:4" ht="12.75">
      <c r="A111" t="s">
        <v>53</v>
      </c>
      <c r="B111" s="3">
        <f>fortnight/B110</f>
        <v>12720.999999999987</v>
      </c>
      <c r="C111" s="2"/>
      <c r="D111" t="s">
        <v>59</v>
      </c>
    </row>
    <row r="115" spans="1:6" ht="12.75">
      <c r="A115" t="s">
        <v>50</v>
      </c>
      <c r="C115">
        <f>0.000001/LightSpeed/B16*(B15+C15)</f>
        <v>3.256158019039552E-10</v>
      </c>
      <c r="D115" t="s">
        <v>30</v>
      </c>
      <c r="E115">
        <f>2*C94</f>
        <v>2618880</v>
      </c>
      <c r="F115" t="s">
        <v>119</v>
      </c>
    </row>
    <row r="116" ht="12.75">
      <c r="C116" s="2">
        <f>B17</f>
        <v>9.167130783449188</v>
      </c>
    </row>
    <row r="117" ht="12.75">
      <c r="C117">
        <f>0.001/C116</f>
        <v>0.00010908538599726882</v>
      </c>
    </row>
    <row r="118" ht="12.75">
      <c r="C118">
        <f>1/B16/HzPerMHz</f>
        <v>1.4924660314771934E-06</v>
      </c>
    </row>
    <row r="120" ht="12.75">
      <c r="C120">
        <f>700/C116</f>
        <v>76.35977019808817</v>
      </c>
    </row>
    <row r="121" ht="12.75">
      <c r="C121">
        <f>1/C120</f>
        <v>0.013095901119213126</v>
      </c>
    </row>
    <row r="123" ht="12.75">
      <c r="A123" t="s">
        <v>135</v>
      </c>
    </row>
    <row r="125" spans="1:7" ht="12.75">
      <c r="A125" t="s">
        <v>138</v>
      </c>
      <c r="B125" t="s">
        <v>136</v>
      </c>
      <c r="C125" t="s">
        <v>67</v>
      </c>
      <c r="D125" t="s">
        <v>68</v>
      </c>
      <c r="E125" t="s">
        <v>137</v>
      </c>
      <c r="F125" t="s">
        <v>69</v>
      </c>
      <c r="G125" t="s">
        <v>139</v>
      </c>
    </row>
    <row r="126" ht="12.75">
      <c r="A126" s="1" t="s">
        <v>70</v>
      </c>
    </row>
    <row r="127" spans="1:4" ht="12.75">
      <c r="A127">
        <v>0</v>
      </c>
      <c r="B127">
        <f aca="true" t="shared" si="0" ref="B127:B132">A127*A_databit_length</f>
        <v>0</v>
      </c>
      <c r="C127" s="7"/>
      <c r="D127" s="7">
        <f>C127</f>
        <v>0</v>
      </c>
    </row>
    <row r="128" spans="1:7" ht="12.75">
      <c r="A128">
        <f>A127+1</f>
        <v>1</v>
      </c>
      <c r="B128">
        <f t="shared" si="0"/>
        <v>20460</v>
      </c>
      <c r="C128" s="7">
        <f>A_Rate_Up*A_Bits_Per_Databit-A_databit_length*Phase_Divisor</f>
        <v>81840</v>
      </c>
      <c r="D128" s="7">
        <f>D127+C128</f>
        <v>81840</v>
      </c>
      <c r="E128" t="str">
        <f>DEC2HEX(B128)</f>
        <v>4FEC</v>
      </c>
      <c r="F128" t="str">
        <f>DEC2HEX(D128)</f>
        <v>13FB0</v>
      </c>
      <c r="G128">
        <f>A_Rate_Up/Phase_Divisor/A_Code_Rate*D128/Phase_Divisor</f>
        <v>1.5773890861400856E-11</v>
      </c>
    </row>
    <row r="129" spans="1:7" ht="12.75">
      <c r="A129">
        <f>A128+1</f>
        <v>2</v>
      </c>
      <c r="B129">
        <f t="shared" si="0"/>
        <v>40920</v>
      </c>
      <c r="C129" s="7">
        <f>A_Rate_Up*A_Bits_Per_Databit-A_databit_length*Phase_Divisor</f>
        <v>81840</v>
      </c>
      <c r="D129" s="7">
        <f>D128+C129</f>
        <v>163680</v>
      </c>
      <c r="E129" t="str">
        <f>DEC2HEX(B129)</f>
        <v>9FD8</v>
      </c>
      <c r="F129" t="str">
        <f>DEC2HEX(D129)</f>
        <v>27F60</v>
      </c>
      <c r="G129">
        <f>A_Rate_Up/Phase_Divisor/A_Code_Rate*D129/Phase_Divisor</f>
        <v>3.154778172280171E-11</v>
      </c>
    </row>
    <row r="130" spans="1:7" ht="12.75">
      <c r="A130">
        <f>A129+1</f>
        <v>3</v>
      </c>
      <c r="B130">
        <f t="shared" si="0"/>
        <v>61380</v>
      </c>
      <c r="C130" s="7">
        <f>A_Rate_Up*A_Bits_Per_Databit-A_databit_length*Phase_Divisor</f>
        <v>81840</v>
      </c>
      <c r="D130" s="7">
        <f>D129+C130</f>
        <v>245520</v>
      </c>
      <c r="E130" t="str">
        <f>DEC2HEX(B130)</f>
        <v>EFC4</v>
      </c>
      <c r="F130" t="str">
        <f>DEC2HEX(D130)</f>
        <v>3BF10</v>
      </c>
      <c r="G130">
        <f>A_Rate_Up/Phase_Divisor/A_Code_Rate*D130/Phase_Divisor</f>
        <v>4.7321672584202563E-11</v>
      </c>
    </row>
    <row r="131" spans="1:7" ht="12.75">
      <c r="A131">
        <f>A130+1</f>
        <v>4</v>
      </c>
      <c r="B131">
        <f t="shared" si="0"/>
        <v>81840</v>
      </c>
      <c r="C131" s="7">
        <f>A_Rate_Up*A_Bits_Per_Databit-A_databit_length*Phase_Divisor</f>
        <v>81840</v>
      </c>
      <c r="D131" s="7">
        <f>D130+C131</f>
        <v>327360</v>
      </c>
      <c r="E131" t="str">
        <f>DEC2HEX(B131)</f>
        <v>13FB0</v>
      </c>
      <c r="F131" t="str">
        <f>DEC2HEX(D131)</f>
        <v>4FEC0</v>
      </c>
      <c r="G131">
        <f>A_Rate_Up/Phase_Divisor/A_Code_Rate*D131/Phase_Divisor</f>
        <v>6.309556344560342E-11</v>
      </c>
    </row>
    <row r="132" spans="1:7" ht="12.75">
      <c r="A132">
        <f>A131+1</f>
        <v>5</v>
      </c>
      <c r="B132">
        <f t="shared" si="0"/>
        <v>102300</v>
      </c>
      <c r="C132" s="7">
        <f>A_Rate_Down*A_Bits_Per_Databit-A_databit_length*Phase_Divisor</f>
        <v>-327360</v>
      </c>
      <c r="D132" s="7">
        <f>D131+C132</f>
        <v>0</v>
      </c>
      <c r="E132" t="str">
        <f>DEC2HEX(B132)</f>
        <v>18F9C</v>
      </c>
      <c r="F132" t="str">
        <f>DEC2HEX(D132)</f>
        <v>0</v>
      </c>
      <c r="G132">
        <f>A_Rate_Up/Phase_Divisor/A_Code_Rate*D132/Phase_Divisor</f>
        <v>0</v>
      </c>
    </row>
    <row r="133" spans="1:4" ht="12.75">
      <c r="A133" s="1" t="s">
        <v>71</v>
      </c>
      <c r="C133" s="7"/>
      <c r="D133" s="7"/>
    </row>
    <row r="134" spans="1:4" ht="12.75">
      <c r="A134">
        <v>0</v>
      </c>
      <c r="B134">
        <f>A134*A_databit_length</f>
        <v>0</v>
      </c>
      <c r="C134" s="7"/>
      <c r="D134" s="7">
        <v>0</v>
      </c>
    </row>
    <row r="135" spans="1:7" ht="12.75">
      <c r="A135">
        <f>A134+1</f>
        <v>1</v>
      </c>
      <c r="B135">
        <f>A135*B_databit_length</f>
        <v>20460</v>
      </c>
      <c r="C135" s="7">
        <f>B_Rate_Up*B_Bits_Per_Databit-B_databit_length*Phase_Divisor</f>
        <v>40920</v>
      </c>
      <c r="D135" s="7">
        <f>D134+C135</f>
        <v>40920</v>
      </c>
      <c r="E135" t="str">
        <f>DEC2HEX(B135)</f>
        <v>4FEC</v>
      </c>
      <c r="F135" t="str">
        <f>DEC2HEX(D135)</f>
        <v>9FD8</v>
      </c>
      <c r="G135">
        <f>B_Rate_Up/Phase_Divisor/B_Code_Rate*D135/Phase_Divisor</f>
        <v>7.886783784273651E-12</v>
      </c>
    </row>
    <row r="136" spans="1:7" ht="12.75">
      <c r="A136">
        <f>A135+1</f>
        <v>2</v>
      </c>
      <c r="B136">
        <f>A136*B_databit_length</f>
        <v>40920</v>
      </c>
      <c r="C136" s="7">
        <f>B_Rate_Up*B_Bits_Per_Databit-B_databit_length*Phase_Divisor</f>
        <v>40920</v>
      </c>
      <c r="D136" s="7">
        <f>D135+C136</f>
        <v>81840</v>
      </c>
      <c r="E136" t="str">
        <f>DEC2HEX(B136)</f>
        <v>9FD8</v>
      </c>
      <c r="F136" t="str">
        <f>DEC2HEX(D136)</f>
        <v>13FB0</v>
      </c>
      <c r="G136">
        <f>B_Rate_Up/Phase_Divisor/B_Code_Rate*D136/Phase_Divisor</f>
        <v>1.5773567568547303E-11</v>
      </c>
    </row>
    <row r="137" spans="1:7" ht="12.75">
      <c r="A137">
        <f>A136+1</f>
        <v>3</v>
      </c>
      <c r="B137">
        <f>A137*B_databit_length</f>
        <v>61380</v>
      </c>
      <c r="C137" s="7">
        <f>B_Rate_Up*B_Bits_Per_Databit-B_databit_length*Phase_Divisor</f>
        <v>40920</v>
      </c>
      <c r="D137" s="7">
        <f>D136+C137</f>
        <v>122760</v>
      </c>
      <c r="E137" t="str">
        <f>DEC2HEX(B137)</f>
        <v>EFC4</v>
      </c>
      <c r="F137" t="str">
        <f>DEC2HEX(D137)</f>
        <v>1DF88</v>
      </c>
      <c r="G137">
        <f>B_Rate_Up/Phase_Divisor/B_Code_Rate*D137/Phase_Divisor</f>
        <v>2.3660351352820954E-11</v>
      </c>
    </row>
    <row r="138" spans="1:7" ht="12.75">
      <c r="A138">
        <f>A137+1</f>
        <v>4</v>
      </c>
      <c r="B138">
        <f>A138*B_databit_length</f>
        <v>81840</v>
      </c>
      <c r="C138" s="7">
        <f>B_Rate_Up*B_Bits_Per_Databit-B_databit_length*Phase_Divisor</f>
        <v>40920</v>
      </c>
      <c r="D138" s="7">
        <f>D137+C138</f>
        <v>163680</v>
      </c>
      <c r="E138" t="str">
        <f>DEC2HEX(B138)</f>
        <v>13FB0</v>
      </c>
      <c r="F138" t="str">
        <f>DEC2HEX(D138)</f>
        <v>27F60</v>
      </c>
      <c r="G138">
        <f>B_Rate_Up/Phase_Divisor/B_Code_Rate*D138/Phase_Divisor</f>
        <v>3.1547135137094605E-11</v>
      </c>
    </row>
    <row r="139" spans="1:7" ht="12.75">
      <c r="A139">
        <f>A138+1</f>
        <v>5</v>
      </c>
      <c r="B139">
        <f>A139*B_databit_length</f>
        <v>102300</v>
      </c>
      <c r="C139" s="7">
        <f>B_Rate_Up*B_Bits_Per_Databit-B_databit_length*Phase_Divisor</f>
        <v>40920</v>
      </c>
      <c r="D139" s="7">
        <f>D138+C139</f>
        <v>204600</v>
      </c>
      <c r="E139" t="str">
        <f>DEC2HEX(B139)</f>
        <v>18F9C</v>
      </c>
      <c r="F139" t="str">
        <f>DEC2HEX(D139)</f>
        <v>31F38</v>
      </c>
      <c r="G139">
        <f>B_Rate_Up/Phase_Divisor/B_Code_Rate*D139/Phase_Divisor</f>
        <v>3.9433918921368256E-11</v>
      </c>
    </row>
    <row r="140" spans="1:7" ht="12.75">
      <c r="A140">
        <f aca="true" t="shared" si="1" ref="A140:A153">A139+1</f>
        <v>6</v>
      </c>
      <c r="B140">
        <f aca="true" t="shared" si="2" ref="B140:B153">A140*B_databit_length</f>
        <v>122760</v>
      </c>
      <c r="C140" s="7">
        <f aca="true" t="shared" si="3" ref="C140:C152">B_Rate_Up*B_Bits_Per_Databit-B_databit_length*Phase_Divisor</f>
        <v>40920</v>
      </c>
      <c r="D140" s="7">
        <f aca="true" t="shared" si="4" ref="D140:D153">D139+C140</f>
        <v>245520</v>
      </c>
      <c r="E140" t="str">
        <f aca="true" t="shared" si="5" ref="E140:E153">DEC2HEX(B140)</f>
        <v>1DF88</v>
      </c>
      <c r="F140" t="str">
        <f aca="true" t="shared" si="6" ref="F140:F153">DEC2HEX(D140)</f>
        <v>3BF10</v>
      </c>
      <c r="G140">
        <f aca="true" t="shared" si="7" ref="G140:G153">B_Rate_Up/Phase_Divisor/B_Code_Rate*D140/Phase_Divisor</f>
        <v>4.732070270564191E-11</v>
      </c>
    </row>
    <row r="141" spans="1:7" ht="12.75">
      <c r="A141">
        <f t="shared" si="1"/>
        <v>7</v>
      </c>
      <c r="B141">
        <f t="shared" si="2"/>
        <v>143220</v>
      </c>
      <c r="C141" s="7">
        <f t="shared" si="3"/>
        <v>40920</v>
      </c>
      <c r="D141" s="7">
        <f t="shared" si="4"/>
        <v>286440</v>
      </c>
      <c r="E141" t="str">
        <f t="shared" si="5"/>
        <v>22F74</v>
      </c>
      <c r="F141" t="str">
        <f t="shared" si="6"/>
        <v>45EE8</v>
      </c>
      <c r="G141">
        <f t="shared" si="7"/>
        <v>5.520748648991556E-11</v>
      </c>
    </row>
    <row r="142" spans="1:7" ht="12.75">
      <c r="A142">
        <f t="shared" si="1"/>
        <v>8</v>
      </c>
      <c r="B142">
        <f t="shared" si="2"/>
        <v>163680</v>
      </c>
      <c r="C142" s="7">
        <f t="shared" si="3"/>
        <v>40920</v>
      </c>
      <c r="D142" s="7">
        <f t="shared" si="4"/>
        <v>327360</v>
      </c>
      <c r="E142" t="str">
        <f t="shared" si="5"/>
        <v>27F60</v>
      </c>
      <c r="F142" t="str">
        <f t="shared" si="6"/>
        <v>4FEC0</v>
      </c>
      <c r="G142">
        <f t="shared" si="7"/>
        <v>6.309427027418921E-11</v>
      </c>
    </row>
    <row r="143" spans="1:7" ht="12.75">
      <c r="A143">
        <f t="shared" si="1"/>
        <v>9</v>
      </c>
      <c r="B143">
        <f t="shared" si="2"/>
        <v>184140</v>
      </c>
      <c r="C143" s="7">
        <f t="shared" si="3"/>
        <v>40920</v>
      </c>
      <c r="D143" s="7">
        <f t="shared" si="4"/>
        <v>368280</v>
      </c>
      <c r="E143" t="str">
        <f t="shared" si="5"/>
        <v>2CF4C</v>
      </c>
      <c r="F143" t="str">
        <f t="shared" si="6"/>
        <v>59E98</v>
      </c>
      <c r="G143">
        <f t="shared" si="7"/>
        <v>7.098105405846286E-11</v>
      </c>
    </row>
    <row r="144" spans="1:7" ht="12.75">
      <c r="A144">
        <f t="shared" si="1"/>
        <v>10</v>
      </c>
      <c r="B144">
        <f t="shared" si="2"/>
        <v>204600</v>
      </c>
      <c r="C144" s="7">
        <f>B_Rate_Down*B_Bits_Per_Databit-B_databit_length*Phase_Divisor</f>
        <v>-347820</v>
      </c>
      <c r="D144" s="7">
        <f t="shared" si="4"/>
        <v>20460</v>
      </c>
      <c r="E144" t="str">
        <f t="shared" si="5"/>
        <v>31F38</v>
      </c>
      <c r="F144" t="str">
        <f t="shared" si="6"/>
        <v>4FEC</v>
      </c>
      <c r="G144">
        <f t="shared" si="7"/>
        <v>3.943391892136826E-12</v>
      </c>
    </row>
    <row r="145" spans="1:7" ht="12.75">
      <c r="A145">
        <f t="shared" si="1"/>
        <v>11</v>
      </c>
      <c r="B145">
        <f t="shared" si="2"/>
        <v>225060</v>
      </c>
      <c r="C145" s="7">
        <f t="shared" si="3"/>
        <v>40920</v>
      </c>
      <c r="D145" s="7">
        <f t="shared" si="4"/>
        <v>61380</v>
      </c>
      <c r="E145" t="str">
        <f t="shared" si="5"/>
        <v>36F24</v>
      </c>
      <c r="F145" t="str">
        <f t="shared" si="6"/>
        <v>EFC4</v>
      </c>
      <c r="G145">
        <f t="shared" si="7"/>
        <v>1.1830175676410477E-11</v>
      </c>
    </row>
    <row r="146" spans="1:7" ht="12.75">
      <c r="A146">
        <f t="shared" si="1"/>
        <v>12</v>
      </c>
      <c r="B146">
        <f t="shared" si="2"/>
        <v>245520</v>
      </c>
      <c r="C146" s="7">
        <f t="shared" si="3"/>
        <v>40920</v>
      </c>
      <c r="D146" s="7">
        <f t="shared" si="4"/>
        <v>102300</v>
      </c>
      <c r="E146" t="str">
        <f t="shared" si="5"/>
        <v>3BF10</v>
      </c>
      <c r="F146" t="str">
        <f t="shared" si="6"/>
        <v>18F9C</v>
      </c>
      <c r="G146">
        <f t="shared" si="7"/>
        <v>1.9716959460684128E-11</v>
      </c>
    </row>
    <row r="147" spans="1:7" ht="12.75">
      <c r="A147">
        <f t="shared" si="1"/>
        <v>13</v>
      </c>
      <c r="B147">
        <f t="shared" si="2"/>
        <v>265980</v>
      </c>
      <c r="C147" s="7">
        <f t="shared" si="3"/>
        <v>40920</v>
      </c>
      <c r="D147" s="7">
        <f t="shared" si="4"/>
        <v>143220</v>
      </c>
      <c r="E147" t="str">
        <f t="shared" si="5"/>
        <v>40EFC</v>
      </c>
      <c r="F147" t="str">
        <f t="shared" si="6"/>
        <v>22F74</v>
      </c>
      <c r="G147">
        <f t="shared" si="7"/>
        <v>2.760374324495778E-11</v>
      </c>
    </row>
    <row r="148" spans="1:7" ht="12.75">
      <c r="A148">
        <f t="shared" si="1"/>
        <v>14</v>
      </c>
      <c r="B148">
        <f t="shared" si="2"/>
        <v>286440</v>
      </c>
      <c r="C148" s="7">
        <f t="shared" si="3"/>
        <v>40920</v>
      </c>
      <c r="D148" s="7">
        <f t="shared" si="4"/>
        <v>184140</v>
      </c>
      <c r="E148" t="str">
        <f t="shared" si="5"/>
        <v>45EE8</v>
      </c>
      <c r="F148" t="str">
        <f t="shared" si="6"/>
        <v>2CF4C</v>
      </c>
      <c r="G148">
        <f t="shared" si="7"/>
        <v>3.549052702923143E-11</v>
      </c>
    </row>
    <row r="149" spans="1:7" ht="12.75">
      <c r="A149">
        <f t="shared" si="1"/>
        <v>15</v>
      </c>
      <c r="B149">
        <f t="shared" si="2"/>
        <v>306900</v>
      </c>
      <c r="C149" s="7">
        <f t="shared" si="3"/>
        <v>40920</v>
      </c>
      <c r="D149" s="7">
        <f t="shared" si="4"/>
        <v>225060</v>
      </c>
      <c r="E149" t="str">
        <f t="shared" si="5"/>
        <v>4AED4</v>
      </c>
      <c r="F149" t="str">
        <f t="shared" si="6"/>
        <v>36F24</v>
      </c>
      <c r="G149">
        <f t="shared" si="7"/>
        <v>4.337731081350508E-11</v>
      </c>
    </row>
    <row r="150" spans="1:7" ht="12.75">
      <c r="A150">
        <f t="shared" si="1"/>
        <v>16</v>
      </c>
      <c r="B150">
        <f t="shared" si="2"/>
        <v>327360</v>
      </c>
      <c r="C150" s="7">
        <f t="shared" si="3"/>
        <v>40920</v>
      </c>
      <c r="D150" s="7">
        <f t="shared" si="4"/>
        <v>265980</v>
      </c>
      <c r="E150" t="str">
        <f t="shared" si="5"/>
        <v>4FEC0</v>
      </c>
      <c r="F150" t="str">
        <f t="shared" si="6"/>
        <v>40EFC</v>
      </c>
      <c r="G150">
        <f t="shared" si="7"/>
        <v>5.1264094597778733E-11</v>
      </c>
    </row>
    <row r="151" spans="1:7" ht="12.75">
      <c r="A151">
        <f t="shared" si="1"/>
        <v>17</v>
      </c>
      <c r="B151">
        <f t="shared" si="2"/>
        <v>347820</v>
      </c>
      <c r="C151" s="7">
        <f t="shared" si="3"/>
        <v>40920</v>
      </c>
      <c r="D151" s="7">
        <f t="shared" si="4"/>
        <v>306900</v>
      </c>
      <c r="E151" t="str">
        <f t="shared" si="5"/>
        <v>54EAC</v>
      </c>
      <c r="F151" t="str">
        <f t="shared" si="6"/>
        <v>4AED4</v>
      </c>
      <c r="G151">
        <f t="shared" si="7"/>
        <v>5.915087838205238E-11</v>
      </c>
    </row>
    <row r="152" spans="1:7" ht="12.75">
      <c r="A152">
        <f t="shared" si="1"/>
        <v>18</v>
      </c>
      <c r="B152">
        <f t="shared" si="2"/>
        <v>368280</v>
      </c>
      <c r="C152" s="7">
        <f t="shared" si="3"/>
        <v>40920</v>
      </c>
      <c r="D152" s="7">
        <f t="shared" si="4"/>
        <v>347820</v>
      </c>
      <c r="E152" t="str">
        <f t="shared" si="5"/>
        <v>59E98</v>
      </c>
      <c r="F152" t="str">
        <f t="shared" si="6"/>
        <v>54EAC</v>
      </c>
      <c r="G152">
        <f t="shared" si="7"/>
        <v>6.703766216632603E-11</v>
      </c>
    </row>
    <row r="153" spans="1:7" ht="12.75">
      <c r="A153">
        <f t="shared" si="1"/>
        <v>19</v>
      </c>
      <c r="B153">
        <f t="shared" si="2"/>
        <v>388740</v>
      </c>
      <c r="C153" s="7">
        <f>B_Rate_Down*B_Bits_Per_Databit-B_databit_length*Phase_Divisor</f>
        <v>-347820</v>
      </c>
      <c r="D153" s="7">
        <f t="shared" si="4"/>
        <v>0</v>
      </c>
      <c r="E153" t="str">
        <f t="shared" si="5"/>
        <v>5EE84</v>
      </c>
      <c r="F153" t="str">
        <f t="shared" si="6"/>
        <v>0</v>
      </c>
      <c r="G153">
        <f t="shared" si="7"/>
        <v>0</v>
      </c>
    </row>
  </sheetData>
  <sheetProtection/>
  <printOptions/>
  <pageMargins left="0.75" right="0.75" top="1" bottom="1" header="0.5" footer="0.5"/>
  <pageSetup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lockheed / 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Duncan</dc:creator>
  <cp:keywords/>
  <dc:description/>
  <cp:lastModifiedBy>Courtney Duncan</cp:lastModifiedBy>
  <cp:lastPrinted>2009-04-18T22:45:28Z</cp:lastPrinted>
  <dcterms:created xsi:type="dcterms:W3CDTF">2008-11-05T23:25:46Z</dcterms:created>
  <dcterms:modified xsi:type="dcterms:W3CDTF">2013-09-20T22:55:31Z</dcterms:modified>
  <cp:category/>
  <cp:version/>
  <cp:contentType/>
  <cp:contentStatus/>
</cp:coreProperties>
</file>